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ousing Trajectory" sheetId="1" r:id="rId1"/>
    <sheet name="Affordable housing trend chart" sheetId="2" r:id="rId2"/>
    <sheet name="Affordable housing trend ch (2)" sheetId="3" r:id="rId3"/>
    <sheet name="Mix of homes trend chart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<sst xmlns="http://schemas.openxmlformats.org/spreadsheetml/2006/main" count="63" uniqueCount="63">
  <si>
    <t>1999/2000</t>
  </si>
  <si>
    <t>2002/03</t>
  </si>
  <si>
    <t>2000/01</t>
  </si>
  <si>
    <t>2001/02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</si>
  <si>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</si>
  <si>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</si>
  <si>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</si>
  <si>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</si>
  <si>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</si>
  <si>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</si>
  <si>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</si>
  <si>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</si>
  <si>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</si>
  <si>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</si>
  <si>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</si>
  <si>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</si>
  <si>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Plan Period Remaining (years)</t>
  </si>
  <si>
    <t>2015/16</t>
  </si>
  <si>
    <t>2016/17</t>
  </si>
  <si>
    <t>1997/98</t>
  </si>
  <si>
    <t>1998/99</t>
  </si>
  <si>
    <t>1 and 2) Net additional dwellings (completed)</t>
  </si>
  <si>
    <t>1 and 2) Empty homes brought back into use</t>
  </si>
  <si>
    <t>2017/18</t>
  </si>
  <si>
    <t>2018/19</t>
  </si>
  <si>
    <t>2019/20</t>
  </si>
  <si>
    <t>2020/21</t>
  </si>
  <si>
    <t>2021/22</t>
  </si>
  <si>
    <t>1 and 2) Non self-contained units (completed)</t>
  </si>
  <si>
    <t>5) Average annual number of net additional (conventional) dwellings needed to meet overall housing requirements</t>
  </si>
  <si>
    <t>2022/23</t>
  </si>
  <si>
    <t>2023/24</t>
  </si>
  <si>
    <t>Surplus/Deficit</t>
  </si>
  <si>
    <t>2024/25</t>
  </si>
  <si>
    <t>2025/2026</t>
  </si>
  <si>
    <t>2026/27</t>
  </si>
  <si>
    <t>2027/28</t>
  </si>
  <si>
    <t>2028/29</t>
  </si>
  <si>
    <t>2029/30</t>
  </si>
  <si>
    <t>2030/31</t>
  </si>
  <si>
    <t>Net additional dwellings (with planning permission or allocated)</t>
  </si>
  <si>
    <t>Market</t>
  </si>
  <si>
    <t>Affordable Housing completions</t>
  </si>
  <si>
    <t>Target</t>
  </si>
  <si>
    <t>Percentage of completions</t>
  </si>
  <si>
    <t>Cummulative total of affordable housing completions</t>
  </si>
  <si>
    <t>Cummulative percentage</t>
  </si>
  <si>
    <t>Intermediate completions</t>
  </si>
  <si>
    <t>Social Rent/Affordable Rent completions</t>
  </si>
  <si>
    <t>Cummulative total of intermediate completions</t>
  </si>
  <si>
    <t>Cummulative total of social/affordable rent completions</t>
  </si>
  <si>
    <t>Cummulative % of intermediate homes over period</t>
  </si>
  <si>
    <t>Cummulative % of social/affordable rented homes over period</t>
  </si>
  <si>
    <t>% Intermediate homes in year</t>
  </si>
  <si>
    <t>% Social/affordable rented homes in year</t>
  </si>
  <si>
    <t>% 1 and 2 bed homes</t>
  </si>
  <si>
    <t>Cumulative Difference between London Plan requirement and actual completions of net additional new dwellings</t>
  </si>
  <si>
    <t>London Plan requirement</t>
  </si>
  <si>
    <t>London Plan requirement (net additional requirement from all sources)</t>
  </si>
  <si>
    <t>Total new homes already built</t>
  </si>
  <si>
    <t>Social Rent/Affordable Rent % target (from UDP/Croydon Local Plan)</t>
  </si>
  <si>
    <t>Intermediate % target (from UDP/Croydon Local Plan)</t>
  </si>
  <si>
    <t>% 3 or more bedroom homes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</si>
</sst>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0.000;0.000"/>
    <numFmt numFmtId="173" formatCode="dd/mm/yyyy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34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Data!$A$12:$G$12</c:f>
              <c:strCache>
                <c:ptCount val="1"/>
                <c:pt idx="0">
                  <c:v>Cumulative Difference between London Plan requirement and actual completions of net additional new dwellings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Data!$H$1:$AE$1</c:f>
              <c:strCache>
                <c:ptCount val="24"/>
                <c:pt idx="0">
                  <c:v>1997/98</c:v>
                </c:pt>
                <c:pt idx="1">
                  <c:v>1998/99</c:v>
                </c:pt>
                <c:pt idx="2">
                  <c:v>1999/2000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  <c:pt idx="23">
                  <c:v>2020/21</c:v>
                </c:pt>
              </c:strCache>
            </c:strRef>
          </c:cat>
          <c:val>
            <c:numRef>
              <c:f>Data!$H$12:$AE$12</c:f>
              <c:numCache>
                <c:ptCount val="24"/>
                <c:pt idx="0">
                  <c:v>10.14285714285711</c:v>
                </c:pt>
                <c:pt idx="1">
                  <c:v>-303.7142857142858</c:v>
                </c:pt>
                <c:pt idx="2">
                  <c:v>-670.5714285714287</c:v>
                </c:pt>
                <c:pt idx="3">
                  <c:v>-1134.4285714285716</c:v>
                </c:pt>
                <c:pt idx="4">
                  <c:v>-1336.2857142857144</c:v>
                </c:pt>
                <c:pt idx="5">
                  <c:v>-1473.1428571428573</c:v>
                </c:pt>
                <c:pt idx="6">
                  <c:v>-1507.0000000000002</c:v>
                </c:pt>
                <c:pt idx="7">
                  <c:v>87</c:v>
                </c:pt>
                <c:pt idx="8">
                  <c:v>764</c:v>
                </c:pt>
                <c:pt idx="9">
                  <c:v>1121</c:v>
                </c:pt>
                <c:pt idx="10">
                  <c:v>190</c:v>
                </c:pt>
                <c:pt idx="11">
                  <c:v>789</c:v>
                </c:pt>
                <c:pt idx="12">
                  <c:v>712</c:v>
                </c:pt>
                <c:pt idx="13">
                  <c:v>1047</c:v>
                </c:pt>
                <c:pt idx="14">
                  <c:v>-369</c:v>
                </c:pt>
                <c:pt idx="15">
                  <c:v>-589.7272727272727</c:v>
                </c:pt>
                <c:pt idx="16">
                  <c:v>-626.1818181818182</c:v>
                </c:pt>
                <c:pt idx="17">
                  <c:v>-662.6363636363637</c:v>
                </c:pt>
                <c:pt idx="18">
                  <c:v>-699.0909090909092</c:v>
                </c:pt>
                <c:pt idx="19">
                  <c:v>-735.5454545454547</c:v>
                </c:pt>
                <c:pt idx="20">
                  <c:v>-772.0000000000002</c:v>
                </c:pt>
                <c:pt idx="21">
                  <c:v>-1993.0000000000002</c:v>
                </c:pt>
                <c:pt idx="22">
                  <c:v>-3214</c:v>
                </c:pt>
                <c:pt idx="23">
                  <c:v>-4435</c:v>
                </c:pt>
              </c:numCache>
            </c:numRef>
          </c:val>
          <c:smooth val="0"/>
        </c:ser>
        <c:marker val="1"/>
        <c:axId val="42062780"/>
        <c:axId val="48768221"/>
      </c:lineChart>
      <c:catAx>
        <c:axId val="4206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68221"/>
        <c:crosses val="autoZero"/>
        <c:auto val="1"/>
        <c:lblOffset val="100"/>
        <c:noMultiLvlLbl val="0"/>
      </c:catAx>
      <c:valAx>
        <c:axId val="48768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6278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5"/>
          <c:y val="0.8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2"/>
          <c:w val="0.6415"/>
          <c:h val="0.722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Data!$A$5</c:f>
              <c:strCache>
                <c:ptCount val="1"/>
                <c:pt idx="0">
                  <c:v>Total new homes already built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Data!$H$1:$AH$1</c:f>
              <c:strCache>
                <c:ptCount val="27"/>
                <c:pt idx="0">
                  <c:v>1997/98</c:v>
                </c:pt>
                <c:pt idx="1">
                  <c:v>1998/99</c:v>
                </c:pt>
                <c:pt idx="2">
                  <c:v>1999/2000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  <c:pt idx="23">
                  <c:v>2020/21</c:v>
                </c:pt>
                <c:pt idx="24">
                  <c:v>2021/22</c:v>
                </c:pt>
                <c:pt idx="25">
                  <c:v>2022/23</c:v>
                </c:pt>
                <c:pt idx="26">
                  <c:v>2023/24</c:v>
                </c:pt>
              </c:strCache>
            </c:strRef>
          </c:cat>
          <c:val>
            <c:numRef>
              <c:f>Data!$H$5:$W$5</c:f>
              <c:numCache>
                <c:ptCount val="16"/>
                <c:pt idx="0">
                  <c:v>703</c:v>
                </c:pt>
                <c:pt idx="1">
                  <c:v>379</c:v>
                </c:pt>
                <c:pt idx="2">
                  <c:v>326</c:v>
                </c:pt>
                <c:pt idx="3">
                  <c:v>229</c:v>
                </c:pt>
                <c:pt idx="4">
                  <c:v>491</c:v>
                </c:pt>
                <c:pt idx="5">
                  <c:v>556</c:v>
                </c:pt>
                <c:pt idx="6">
                  <c:v>659</c:v>
                </c:pt>
                <c:pt idx="7">
                  <c:v>937</c:v>
                </c:pt>
                <c:pt idx="8">
                  <c:v>1527</c:v>
                </c:pt>
                <c:pt idx="9">
                  <c:v>1207</c:v>
                </c:pt>
                <c:pt idx="10">
                  <c:v>1290</c:v>
                </c:pt>
                <c:pt idx="11">
                  <c:v>1699</c:v>
                </c:pt>
                <c:pt idx="12">
                  <c:v>1023</c:v>
                </c:pt>
                <c:pt idx="13">
                  <c:v>1435</c:v>
                </c:pt>
                <c:pt idx="14">
                  <c:v>852</c:v>
                </c:pt>
                <c:pt idx="15">
                  <c:v>408</c:v>
                </c:pt>
              </c:numCache>
            </c:numRef>
          </c:val>
        </c:ser>
        <c:ser>
          <c:idx val="2"/>
          <c:order val="1"/>
          <c:tx>
            <c:strRef>
              <c:f>Data!$A$6</c:f>
              <c:strCache>
                <c:ptCount val="1"/>
                <c:pt idx="0">
                  <c:v>Net additional dwellings (with planning permission or allocated)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Data!$H$1:$AH$1</c:f>
              <c:strCache>
                <c:ptCount val="27"/>
                <c:pt idx="0">
                  <c:v>1997/98</c:v>
                </c:pt>
                <c:pt idx="1">
                  <c:v>1998/99</c:v>
                </c:pt>
                <c:pt idx="2">
                  <c:v>1999/2000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  <c:pt idx="23">
                  <c:v>2020/21</c:v>
                </c:pt>
                <c:pt idx="24">
                  <c:v>2021/22</c:v>
                </c:pt>
                <c:pt idx="25">
                  <c:v>2022/23</c:v>
                </c:pt>
                <c:pt idx="26">
                  <c:v>2023/24</c:v>
                </c:pt>
              </c:strCache>
            </c:strRef>
          </c:cat>
          <c:val>
            <c:numRef>
              <c:f>Data!$H$6:$AH$6</c:f>
              <c:numCache>
                <c:ptCount val="27"/>
                <c:pt idx="15">
                  <c:v>592.2727272727273</c:v>
                </c:pt>
                <c:pt idx="16">
                  <c:v>1184.5454545454545</c:v>
                </c:pt>
                <c:pt idx="17">
                  <c:v>1184.5454545454545</c:v>
                </c:pt>
                <c:pt idx="18">
                  <c:v>1184.5454545454545</c:v>
                </c:pt>
                <c:pt idx="19">
                  <c:v>1184.5454545454545</c:v>
                </c:pt>
                <c:pt idx="20">
                  <c:v>1184.5454545454545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6475170"/>
        <c:axId val="66669459"/>
      </c:barChart>
      <c:lineChart>
        <c:grouping val="standard"/>
        <c:varyColors val="0"/>
        <c:ser>
          <c:idx val="0"/>
          <c:order val="2"/>
          <c:tx>
            <c:strRef>
              <c:f>Data!$A$8</c:f>
              <c:strCache>
                <c:ptCount val="1"/>
                <c:pt idx="0">
                  <c:v>London Plan requirement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Data!$H$8:$AH$8</c:f>
              <c:numCache>
                <c:ptCount val="27"/>
                <c:pt idx="0">
                  <c:v>692.8571428571429</c:v>
                </c:pt>
                <c:pt idx="1">
                  <c:v>692.8571428571429</c:v>
                </c:pt>
                <c:pt idx="2">
                  <c:v>692.8571428571429</c:v>
                </c:pt>
                <c:pt idx="3">
                  <c:v>692.8571428571429</c:v>
                </c:pt>
                <c:pt idx="4">
                  <c:v>692.8571428571429</c:v>
                </c:pt>
                <c:pt idx="5">
                  <c:v>692.8571428571429</c:v>
                </c:pt>
                <c:pt idx="6">
                  <c:v>692.8571428571429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1100</c:v>
                </c:pt>
                <c:pt idx="11">
                  <c:v>1100</c:v>
                </c:pt>
                <c:pt idx="12">
                  <c:v>1100</c:v>
                </c:pt>
                <c:pt idx="13">
                  <c:v>1100</c:v>
                </c:pt>
                <c:pt idx="14">
                  <c:v>1221</c:v>
                </c:pt>
                <c:pt idx="15">
                  <c:v>1221</c:v>
                </c:pt>
                <c:pt idx="16">
                  <c:v>1221</c:v>
                </c:pt>
                <c:pt idx="17">
                  <c:v>1221</c:v>
                </c:pt>
                <c:pt idx="18">
                  <c:v>1221</c:v>
                </c:pt>
                <c:pt idx="19">
                  <c:v>1221</c:v>
                </c:pt>
                <c:pt idx="20">
                  <c:v>1221</c:v>
                </c:pt>
                <c:pt idx="21">
                  <c:v>1221</c:v>
                </c:pt>
                <c:pt idx="22">
                  <c:v>1221</c:v>
                </c:pt>
                <c:pt idx="23">
                  <c:v>1221</c:v>
                </c:pt>
              </c:numCache>
            </c:numRef>
          </c:val>
          <c:smooth val="0"/>
        </c:ser>
        <c:axId val="16475170"/>
        <c:axId val="66669459"/>
      </c:lineChart>
      <c:catAx>
        <c:axId val="16475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69459"/>
        <c:crosses val="autoZero"/>
        <c:auto val="0"/>
        <c:lblOffset val="100"/>
        <c:tickLblSkip val="1"/>
        <c:noMultiLvlLbl val="0"/>
      </c:catAx>
      <c:valAx>
        <c:axId val="6666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47517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75"/>
          <c:y val="0.81025"/>
          <c:w val="0.5875"/>
          <c:h val="0.1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Data!$A$26</c:f>
              <c:strCache>
                <c:ptCount val="1"/>
                <c:pt idx="0">
                  <c:v>% Social/affordable rented homes in 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Data!$R$26:$Z$26</c:f>
              <c:numCache>
                <c:ptCount val="9"/>
                <c:pt idx="0">
                  <c:v>0.2524893314366999</c:v>
                </c:pt>
                <c:pt idx="1">
                  <c:v>0.23529411764705882</c:v>
                </c:pt>
                <c:pt idx="2">
                  <c:v>0.30364963503649633</c:v>
                </c:pt>
                <c:pt idx="3">
                  <c:v>0.23278985507246377</c:v>
                </c:pt>
                <c:pt idx="4">
                  <c:v>0.3465909090909091</c:v>
                </c:pt>
              </c:numCache>
            </c:numRef>
          </c:val>
        </c:ser>
        <c:ser>
          <c:idx val="2"/>
          <c:order val="3"/>
          <c:tx>
            <c:strRef>
              <c:f>Data!$A$21</c:f>
              <c:strCache>
                <c:ptCount val="1"/>
                <c:pt idx="0">
                  <c:v>% Intermediate homes in 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Data!$R$21:$Z$21</c:f>
              <c:numCache>
                <c:ptCount val="9"/>
                <c:pt idx="0">
                  <c:v>0.19203413940256045</c:v>
                </c:pt>
                <c:pt idx="1">
                  <c:v>0.10823529411764705</c:v>
                </c:pt>
                <c:pt idx="2">
                  <c:v>0.22043795620437956</c:v>
                </c:pt>
                <c:pt idx="3">
                  <c:v>0.11594202898550725</c:v>
                </c:pt>
                <c:pt idx="4">
                  <c:v>0.06818181818181818</c:v>
                </c:pt>
              </c:numCache>
            </c:numRef>
          </c:val>
        </c:ser>
        <c:axId val="28325174"/>
        <c:axId val="3922183"/>
      </c:barChart>
      <c:lineChart>
        <c:grouping val="standard"/>
        <c:varyColors val="0"/>
        <c:ser>
          <c:idx val="6"/>
          <c:order val="0"/>
          <c:tx>
            <c:strRef>
              <c:f>Data!$A$29</c:f>
              <c:strCache>
                <c:ptCount val="1"/>
                <c:pt idx="0">
                  <c:v>Social Rent/Affordable Rent % target (from UDP/Croydon Local Plan)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Data!$R$1:$Z$1</c:f>
              <c:strCache>
                <c:ptCount val="9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</c:strCache>
            </c:strRef>
          </c:cat>
          <c:val>
            <c:numRef>
              <c:f>Data!$R$29:$Z$29</c:f>
              <c:numCache>
                <c:ptCount val="9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Data!$A$24</c:f>
              <c:strCache>
                <c:ptCount val="1"/>
                <c:pt idx="0">
                  <c:v>Intermediate % target (from UDP/Croydon Local Plan)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Data!$R$24:$Z$24</c:f>
              <c:numCache>
                <c:ptCount val="9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smooth val="0"/>
        </c:ser>
        <c:axId val="28325174"/>
        <c:axId val="3922183"/>
      </c:lineChart>
      <c:catAx>
        <c:axId val="28325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2183"/>
        <c:crosses val="autoZero"/>
        <c:auto val="1"/>
        <c:lblOffset val="100"/>
        <c:noMultiLvlLbl val="0"/>
      </c:catAx>
      <c:valAx>
        <c:axId val="392218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32517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Data!$A$28</c:f>
              <c:strCache>
                <c:ptCount val="1"/>
                <c:pt idx="0">
                  <c:v>Cummulative % of social/affordable rented homes over period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Data!$R$1:$Z$1</c:f>
              <c:strCache>
                <c:ptCount val="9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</c:strCache>
            </c:strRef>
          </c:cat>
          <c:val>
            <c:numRef>
              <c:f>Data!$R$28:$Z$28</c:f>
              <c:numCache>
                <c:ptCount val="9"/>
                <c:pt idx="0">
                  <c:v>0.2524893314366999</c:v>
                </c:pt>
                <c:pt idx="1">
                  <c:v>0.2443118239462887</c:v>
                </c:pt>
                <c:pt idx="2">
                  <c:v>0.26437916563811403</c:v>
                </c:pt>
                <c:pt idx="3">
                  <c:v>0.25761396702230843</c:v>
                </c:pt>
                <c:pt idx="4">
                  <c:v>0.268305171530978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Data!$A$23</c:f>
              <c:strCache>
                <c:ptCount val="1"/>
                <c:pt idx="0">
                  <c:v>Cummulative % of intermediate homes over period</c:v>
                </c:pt>
              </c:strCache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Data!$R$23:$Z$23</c:f>
              <c:numCache>
                <c:ptCount val="9"/>
                <c:pt idx="0">
                  <c:v>0.19203413940256045</c:v>
                </c:pt>
                <c:pt idx="1">
                  <c:v>0.15218202163371877</c:v>
                </c:pt>
                <c:pt idx="2">
                  <c:v>0.17526536657615405</c:v>
                </c:pt>
                <c:pt idx="3">
                  <c:v>0.16256062075654704</c:v>
                </c:pt>
                <c:pt idx="4">
                  <c:v>0.15122034476873186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Data!$A$29</c:f>
              <c:strCache>
                <c:ptCount val="1"/>
                <c:pt idx="0">
                  <c:v>Social Rent/Affordable Rent % target (from UDP/Croydon Local Plan)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Data!$R$29:$Z$29</c:f>
              <c:numCache>
                <c:ptCount val="9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Data!$A$24</c:f>
              <c:strCache>
                <c:ptCount val="1"/>
                <c:pt idx="0">
                  <c:v>Intermediate % target (from UDP/Croydon Local Plan)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Data!$R$24:$Z$24</c:f>
              <c:numCache>
                <c:ptCount val="9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smooth val="0"/>
        </c:ser>
        <c:marker val="1"/>
        <c:axId val="22237840"/>
        <c:axId val="59597329"/>
      </c:lineChart>
      <c:catAx>
        <c:axId val="2223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97329"/>
        <c:crosses val="autoZero"/>
        <c:auto val="1"/>
        <c:lblOffset val="100"/>
        <c:noMultiLvlLbl val="0"/>
      </c:catAx>
      <c:valAx>
        <c:axId val="595973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2378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Data!$A$30</c:f>
              <c:strCache>
                <c:ptCount val="1"/>
                <c:pt idx="0">
                  <c:v>% 1 and 2 bed homes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Data!$R$1:$V$1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Data!$R$30:$V$30</c:f>
              <c:numCache>
                <c:ptCount val="5"/>
                <c:pt idx="0">
                  <c:v>0.84</c:v>
                </c:pt>
                <c:pt idx="1">
                  <c:v>0.89</c:v>
                </c:pt>
                <c:pt idx="2">
                  <c:v>0.86</c:v>
                </c:pt>
                <c:pt idx="3">
                  <c:v>0.8202459791863765</c:v>
                </c:pt>
                <c:pt idx="4">
                  <c:v>0.7262638717632552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Data!$A$31</c:f>
              <c:strCache>
                <c:ptCount val="1"/>
                <c:pt idx="0">
                  <c:v>% 3 or more bedroom homes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Data!$R$31:$V$31</c:f>
              <c:numCache>
                <c:ptCount val="5"/>
                <c:pt idx="0">
                  <c:v>0.16000000000000003</c:v>
                </c:pt>
                <c:pt idx="1">
                  <c:v>0.10999999999999999</c:v>
                </c:pt>
                <c:pt idx="2">
                  <c:v>0.14</c:v>
                </c:pt>
                <c:pt idx="3">
                  <c:v>0.17975402081362346</c:v>
                </c:pt>
                <c:pt idx="4">
                  <c:v>0.27373612823674476</c:v>
                </c:pt>
              </c:numCache>
            </c:numRef>
          </c:val>
          <c:smooth val="0"/>
        </c:ser>
        <c:marker val="1"/>
        <c:axId val="41604554"/>
        <c:axId val="22649339"/>
      </c:lineChart>
      <c:catAx>
        <c:axId val="4160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649339"/>
        <c:crosses val="autoZero"/>
        <c:auto val="1"/>
        <c:lblOffset val="100"/>
        <c:noMultiLvlLbl val="0"/>
      </c:catAx>
      <c:valAx>
        <c:axId val="2264933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04554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0.03725</cdr:y>
    </cdr:from>
    <cdr:to>
      <cdr:x>1</cdr:x>
      <cdr:y>0.9945</cdr:y>
    </cdr:to>
    <cdr:graphicFrame>
      <cdr:nvGraphicFramePr>
        <cdr:cNvPr id="1" name="Chart 2"/>
        <cdr:cNvGraphicFramePr/>
      </cdr:nvGraphicFramePr>
      <cdr:xfrm>
        <a:off x="6296025" y="209550"/>
        <a:ext cx="3000375" cy="54673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workbookViewId="0" topLeftCell="J1">
      <selection activeCell="Y17" sqref="Y17"/>
    </sheetView>
  </sheetViews>
  <sheetFormatPr defaultColWidth="9.140625" defaultRowHeight="12.75"/>
  <cols>
    <col min="1" max="1" width="44.00390625" style="1" customWidth="1"/>
    <col min="2" max="6" width="10.140625" style="1" hidden="1" customWidth="1"/>
    <col min="7" max="7" width="8.140625" style="1" hidden="1" customWidth="1"/>
    <col min="8" max="16384" width="9.140625" style="1" customWidth="1"/>
  </cols>
  <sheetData>
    <row r="1" spans="8:41" ht="12.75">
      <c r="H1" s="1" t="s">
        <v>19</v>
      </c>
      <c r="I1" s="1" t="s">
        <v>20</v>
      </c>
      <c r="J1" s="1" t="s">
        <v>0</v>
      </c>
      <c r="K1" s="1" t="s">
        <v>2</v>
      </c>
      <c r="L1" s="1" t="s">
        <v>3</v>
      </c>
      <c r="M1" s="1" t="s">
        <v>1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17</v>
      </c>
      <c r="AA1" s="1" t="s">
        <v>18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30</v>
      </c>
      <c r="AH1" s="1" t="s">
        <v>31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</row>
    <row r="2" spans="1:23" ht="12.75">
      <c r="A2" s="1" t="s">
        <v>21</v>
      </c>
      <c r="H2" s="1">
        <v>703</v>
      </c>
      <c r="I2" s="1">
        <v>379</v>
      </c>
      <c r="J2" s="1">
        <v>326</v>
      </c>
      <c r="K2" s="1">
        <v>229</v>
      </c>
      <c r="L2" s="1">
        <v>491</v>
      </c>
      <c r="M2" s="1">
        <v>556</v>
      </c>
      <c r="N2" s="1">
        <v>659</v>
      </c>
      <c r="O2" s="1">
        <v>667</v>
      </c>
      <c r="P2" s="1">
        <v>675</v>
      </c>
      <c r="Q2" s="1">
        <v>1091</v>
      </c>
      <c r="R2" s="1">
        <v>1406</v>
      </c>
      <c r="S2" s="1">
        <v>1275</v>
      </c>
      <c r="T2" s="1">
        <v>1370</v>
      </c>
      <c r="U2" s="1">
        <v>1104</v>
      </c>
      <c r="V2" s="1">
        <v>704</v>
      </c>
      <c r="W2" s="1">
        <v>402</v>
      </c>
    </row>
    <row r="3" spans="1:22" ht="12.75">
      <c r="A3" s="1" t="s">
        <v>22</v>
      </c>
      <c r="O3" s="1">
        <v>237</v>
      </c>
      <c r="P3" s="1">
        <v>820</v>
      </c>
      <c r="Q3" s="1">
        <v>83</v>
      </c>
      <c r="R3" s="1">
        <v>-128</v>
      </c>
      <c r="S3" s="1">
        <v>446</v>
      </c>
      <c r="T3" s="1">
        <v>-347</v>
      </c>
      <c r="U3" s="1">
        <v>324</v>
      </c>
      <c r="V3" s="1">
        <v>149</v>
      </c>
    </row>
    <row r="4" spans="1:23" ht="12.75">
      <c r="A4" s="1" t="s">
        <v>28</v>
      </c>
      <c r="O4" s="1">
        <v>33</v>
      </c>
      <c r="P4" s="1">
        <v>32</v>
      </c>
      <c r="Q4" s="1">
        <v>33</v>
      </c>
      <c r="R4" s="1">
        <v>12</v>
      </c>
      <c r="S4" s="1">
        <v>-22</v>
      </c>
      <c r="T4" s="1">
        <v>0</v>
      </c>
      <c r="U4" s="1">
        <v>7</v>
      </c>
      <c r="V4" s="1">
        <v>-1</v>
      </c>
      <c r="W4" s="1">
        <v>6</v>
      </c>
    </row>
    <row r="5" spans="1:23" ht="12.75">
      <c r="A5" s="1" t="s">
        <v>59</v>
      </c>
      <c r="H5" s="1">
        <f>SUM(H2:H4)</f>
        <v>703</v>
      </c>
      <c r="I5" s="1">
        <f aca="true" t="shared" si="0" ref="I5:U5">SUM(I2:I4)</f>
        <v>379</v>
      </c>
      <c r="J5" s="1">
        <f t="shared" si="0"/>
        <v>326</v>
      </c>
      <c r="K5" s="1">
        <f t="shared" si="0"/>
        <v>229</v>
      </c>
      <c r="L5" s="1">
        <f t="shared" si="0"/>
        <v>491</v>
      </c>
      <c r="M5" s="1">
        <f t="shared" si="0"/>
        <v>556</v>
      </c>
      <c r="N5" s="1">
        <f t="shared" si="0"/>
        <v>659</v>
      </c>
      <c r="O5" s="1">
        <f t="shared" si="0"/>
        <v>937</v>
      </c>
      <c r="P5" s="1">
        <f t="shared" si="0"/>
        <v>1527</v>
      </c>
      <c r="Q5" s="1">
        <f t="shared" si="0"/>
        <v>1207</v>
      </c>
      <c r="R5" s="1">
        <f t="shared" si="0"/>
        <v>1290</v>
      </c>
      <c r="S5" s="1">
        <f t="shared" si="0"/>
        <v>1699</v>
      </c>
      <c r="T5" s="1">
        <f t="shared" si="0"/>
        <v>1023</v>
      </c>
      <c r="U5" s="1">
        <f t="shared" si="0"/>
        <v>1435</v>
      </c>
      <c r="V5" s="1">
        <f>SUM(V2:V4)</f>
        <v>852</v>
      </c>
      <c r="W5" s="1">
        <f>SUM(W2:W4)</f>
        <v>408</v>
      </c>
    </row>
    <row r="6" spans="1:41" ht="12.75">
      <c r="A6" s="1" t="s">
        <v>40</v>
      </c>
      <c r="W6" s="1">
        <f>(6515/5.5)*0.5</f>
        <v>592.2727272727273</v>
      </c>
      <c r="X6" s="1">
        <f>6515/5.5</f>
        <v>1184.5454545454545</v>
      </c>
      <c r="Y6" s="1">
        <f>6515/5.5</f>
        <v>1184.5454545454545</v>
      </c>
      <c r="Z6" s="1">
        <f>6515/5.5</f>
        <v>1184.5454545454545</v>
      </c>
      <c r="AA6" s="1">
        <f>6515/5.5</f>
        <v>1184.5454545454545</v>
      </c>
      <c r="AB6" s="1">
        <f>6515/5.5</f>
        <v>1184.5454545454545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</row>
    <row r="7" spans="1:41" ht="12.75">
      <c r="A7" s="1" t="s">
        <v>58</v>
      </c>
      <c r="H7" s="1">
        <f aca="true" t="shared" si="1" ref="H7:N7">9700/14</f>
        <v>692.8571428571429</v>
      </c>
      <c r="I7" s="1">
        <f t="shared" si="1"/>
        <v>692.8571428571429</v>
      </c>
      <c r="J7" s="1">
        <f t="shared" si="1"/>
        <v>692.8571428571429</v>
      </c>
      <c r="K7" s="1">
        <f t="shared" si="1"/>
        <v>692.8571428571429</v>
      </c>
      <c r="L7" s="1">
        <f t="shared" si="1"/>
        <v>692.8571428571429</v>
      </c>
      <c r="M7" s="1">
        <f t="shared" si="1"/>
        <v>692.8571428571429</v>
      </c>
      <c r="N7" s="1">
        <f t="shared" si="1"/>
        <v>692.8571428571429</v>
      </c>
      <c r="O7" s="1">
        <v>850</v>
      </c>
      <c r="P7" s="1">
        <v>850</v>
      </c>
      <c r="Q7">
        <v>850</v>
      </c>
      <c r="R7">
        <v>1100</v>
      </c>
      <c r="S7">
        <v>1100</v>
      </c>
      <c r="T7" s="1">
        <v>1100</v>
      </c>
      <c r="U7" s="1">
        <v>1100</v>
      </c>
      <c r="V7" s="1">
        <v>1330</v>
      </c>
      <c r="W7" s="1">
        <v>1330</v>
      </c>
      <c r="X7" s="1">
        <v>1330</v>
      </c>
      <c r="Y7" s="1">
        <v>1330</v>
      </c>
      <c r="Z7" s="1">
        <v>1330</v>
      </c>
      <c r="AA7" s="1">
        <v>1330</v>
      </c>
      <c r="AB7" s="1">
        <v>1330</v>
      </c>
      <c r="AC7" s="1">
        <v>1330</v>
      </c>
      <c r="AD7" s="1">
        <v>1330</v>
      </c>
      <c r="AE7" s="1">
        <v>1330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</row>
    <row r="8" spans="1:31" ht="12.75">
      <c r="A8" s="1" t="s">
        <v>57</v>
      </c>
      <c r="H8" s="1">
        <f>H7</f>
        <v>692.8571428571429</v>
      </c>
      <c r="I8" s="1">
        <f aca="true" t="shared" si="2" ref="I8:U8">I7</f>
        <v>692.8571428571429</v>
      </c>
      <c r="J8" s="1">
        <f t="shared" si="2"/>
        <v>692.8571428571429</v>
      </c>
      <c r="K8" s="1">
        <f t="shared" si="2"/>
        <v>692.8571428571429</v>
      </c>
      <c r="L8" s="1">
        <f t="shared" si="2"/>
        <v>692.8571428571429</v>
      </c>
      <c r="M8" s="1">
        <f t="shared" si="2"/>
        <v>692.8571428571429</v>
      </c>
      <c r="N8" s="1">
        <f t="shared" si="2"/>
        <v>692.8571428571429</v>
      </c>
      <c r="O8" s="1">
        <f t="shared" si="2"/>
        <v>850</v>
      </c>
      <c r="P8" s="1">
        <f t="shared" si="2"/>
        <v>850</v>
      </c>
      <c r="Q8" s="1">
        <f t="shared" si="2"/>
        <v>850</v>
      </c>
      <c r="R8" s="1">
        <f t="shared" si="2"/>
        <v>1100</v>
      </c>
      <c r="S8" s="1">
        <f t="shared" si="2"/>
        <v>1100</v>
      </c>
      <c r="T8" s="1">
        <f t="shared" si="2"/>
        <v>1100</v>
      </c>
      <c r="U8" s="1">
        <f t="shared" si="2"/>
        <v>1100</v>
      </c>
      <c r="V8" s="1">
        <f>V7-109</f>
        <v>1221</v>
      </c>
      <c r="W8" s="1">
        <f aca="true" t="shared" si="3" ref="W8:AE8">W7-109</f>
        <v>1221</v>
      </c>
      <c r="X8" s="1">
        <f t="shared" si="3"/>
        <v>1221</v>
      </c>
      <c r="Y8" s="1">
        <f t="shared" si="3"/>
        <v>1221</v>
      </c>
      <c r="Z8" s="1">
        <f t="shared" si="3"/>
        <v>1221</v>
      </c>
      <c r="AA8" s="1">
        <f t="shared" si="3"/>
        <v>1221</v>
      </c>
      <c r="AB8" s="1">
        <f t="shared" si="3"/>
        <v>1221</v>
      </c>
      <c r="AC8" s="1">
        <f t="shared" si="3"/>
        <v>1221</v>
      </c>
      <c r="AD8" s="1">
        <f t="shared" si="3"/>
        <v>1221</v>
      </c>
      <c r="AE8" s="1">
        <f t="shared" si="3"/>
        <v>1221</v>
      </c>
    </row>
    <row r="9" spans="1:41" ht="12.75">
      <c r="A9" s="1" t="s">
        <v>29</v>
      </c>
      <c r="H9">
        <f aca="true" t="shared" si="4" ref="H9:S9">H10/H11</f>
        <v>692.8571428571428</v>
      </c>
      <c r="I9">
        <f t="shared" si="4"/>
        <v>691.5892857142857</v>
      </c>
      <c r="J9">
        <f t="shared" si="4"/>
        <v>736.2448979591836</v>
      </c>
      <c r="K9">
        <f t="shared" si="4"/>
        <v>804.6190476190476</v>
      </c>
      <c r="L9">
        <f t="shared" si="4"/>
        <v>919.742857142857</v>
      </c>
      <c r="M9">
        <f t="shared" si="4"/>
        <v>1026.9285714285713</v>
      </c>
      <c r="N9">
        <f t="shared" si="4"/>
        <v>1183.9047619047617</v>
      </c>
      <c r="O9">
        <f t="shared" si="4"/>
        <v>851</v>
      </c>
      <c r="P9">
        <f t="shared" si="4"/>
        <v>843.8333333333334</v>
      </c>
      <c r="Q9">
        <f t="shared" si="4"/>
        <v>781.7272727272727</v>
      </c>
      <c r="R9">
        <f t="shared" si="4"/>
        <v>1100</v>
      </c>
      <c r="S9">
        <f t="shared" si="4"/>
        <v>1078.888888888889</v>
      </c>
      <c r="T9">
        <f aca="true" t="shared" si="5" ref="T9:AH9">T10/T11</f>
        <v>1001.375</v>
      </c>
      <c r="U9">
        <f t="shared" si="5"/>
        <v>998.2857142857143</v>
      </c>
      <c r="V9">
        <f t="shared" si="5"/>
        <v>1330</v>
      </c>
      <c r="W9">
        <f t="shared" si="5"/>
        <v>1383.111111111111</v>
      </c>
      <c r="X9">
        <f t="shared" si="5"/>
        <v>1430.965909090909</v>
      </c>
      <c r="Y9">
        <f t="shared" si="5"/>
        <v>1466.168831168831</v>
      </c>
      <c r="Z9">
        <f t="shared" si="5"/>
        <v>1513.1060606060607</v>
      </c>
      <c r="AA9">
        <f t="shared" si="5"/>
        <v>1578.818181818182</v>
      </c>
      <c r="AB9">
        <f t="shared" si="5"/>
        <v>1677.386363636364</v>
      </c>
      <c r="AC9">
        <f t="shared" si="5"/>
        <v>1841.6666666666672</v>
      </c>
      <c r="AD9">
        <f t="shared" si="5"/>
        <v>2762.500000000001</v>
      </c>
      <c r="AE9">
        <f t="shared" si="5"/>
        <v>5525.000000000002</v>
      </c>
      <c r="AF9">
        <f t="shared" si="5"/>
        <v>552.5000000000002</v>
      </c>
      <c r="AG9">
        <f t="shared" si="5"/>
        <v>613.8888888888891</v>
      </c>
      <c r="AH9">
        <f t="shared" si="5"/>
        <v>690.6250000000002</v>
      </c>
      <c r="AI9">
        <f aca="true" t="shared" si="6" ref="AI9:AO9">AI10/AI11</f>
        <v>789.2857142857146</v>
      </c>
      <c r="AJ9">
        <f t="shared" si="6"/>
        <v>920.8333333333336</v>
      </c>
      <c r="AK9">
        <f t="shared" si="6"/>
        <v>1105.0000000000005</v>
      </c>
      <c r="AL9">
        <f t="shared" si="6"/>
        <v>1381.2500000000005</v>
      </c>
      <c r="AM9">
        <f t="shared" si="6"/>
        <v>1841.6666666666672</v>
      </c>
      <c r="AN9">
        <f t="shared" si="6"/>
        <v>2762.500000000001</v>
      </c>
      <c r="AO9">
        <f t="shared" si="6"/>
        <v>5525.000000000002</v>
      </c>
    </row>
    <row r="10" spans="1:41" ht="12.75">
      <c r="A10" s="1" t="s">
        <v>32</v>
      </c>
      <c r="H10" s="1">
        <f>9700-((9700/14)*5)</f>
        <v>6235.714285714285</v>
      </c>
      <c r="I10" s="1">
        <f aca="true" t="shared" si="7" ref="I10:N10">H10-(H2+H3+H4+H6)</f>
        <v>5532.714285714285</v>
      </c>
      <c r="J10" s="1">
        <f t="shared" si="7"/>
        <v>5153.714285714285</v>
      </c>
      <c r="K10" s="1">
        <f t="shared" si="7"/>
        <v>4827.714285714285</v>
      </c>
      <c r="L10" s="1">
        <f t="shared" si="7"/>
        <v>4598.714285714285</v>
      </c>
      <c r="M10" s="1">
        <f t="shared" si="7"/>
        <v>4107.714285714285</v>
      </c>
      <c r="N10" s="1">
        <f t="shared" si="7"/>
        <v>3551.7142857142853</v>
      </c>
      <c r="O10">
        <f>17020-((17020/20)*7)</f>
        <v>11063</v>
      </c>
      <c r="P10" s="1">
        <f>O10-(O2+O3+O4+O6)</f>
        <v>10126</v>
      </c>
      <c r="Q10" s="1">
        <f>P10-(P2+P3+P4+P6)</f>
        <v>8599</v>
      </c>
      <c r="R10" s="1">
        <v>11000</v>
      </c>
      <c r="S10" s="1">
        <f>R10-(R2+R3+R4+R6)</f>
        <v>9710</v>
      </c>
      <c r="T10" s="1">
        <f>S10-(S2+S3+S4+S6)</f>
        <v>8011</v>
      </c>
      <c r="U10" s="1">
        <f>T10-(T2+T3+T4+T6)</f>
        <v>6988</v>
      </c>
      <c r="V10" s="1">
        <f>13300</f>
        <v>13300</v>
      </c>
      <c r="W10" s="1">
        <f aca="true" t="shared" si="8" ref="W10:AO10">V10-(V2+V3+V4+V6)</f>
        <v>12448</v>
      </c>
      <c r="X10" s="1">
        <f t="shared" si="8"/>
        <v>11447.727272727272</v>
      </c>
      <c r="Y10" s="1">
        <f t="shared" si="8"/>
        <v>10263.181818181818</v>
      </c>
      <c r="Z10" s="1">
        <f t="shared" si="8"/>
        <v>9078.636363636364</v>
      </c>
      <c r="AA10" s="1">
        <f t="shared" si="8"/>
        <v>7894.09090909091</v>
      </c>
      <c r="AB10" s="1">
        <f t="shared" si="8"/>
        <v>6709.545454545456</v>
      </c>
      <c r="AC10" s="1">
        <f t="shared" si="8"/>
        <v>5525.000000000002</v>
      </c>
      <c r="AD10" s="1">
        <f t="shared" si="8"/>
        <v>5525.000000000002</v>
      </c>
      <c r="AE10" s="1">
        <f t="shared" si="8"/>
        <v>5525.000000000002</v>
      </c>
      <c r="AF10" s="1">
        <f t="shared" si="8"/>
        <v>5525.000000000002</v>
      </c>
      <c r="AG10" s="1">
        <f t="shared" si="8"/>
        <v>5525.000000000002</v>
      </c>
      <c r="AH10" s="1">
        <f t="shared" si="8"/>
        <v>5525.000000000002</v>
      </c>
      <c r="AI10" s="1">
        <f t="shared" si="8"/>
        <v>5525.000000000002</v>
      </c>
      <c r="AJ10" s="1">
        <f t="shared" si="8"/>
        <v>5525.000000000002</v>
      </c>
      <c r="AK10" s="1">
        <f t="shared" si="8"/>
        <v>5525.000000000002</v>
      </c>
      <c r="AL10" s="1">
        <f t="shared" si="8"/>
        <v>5525.000000000002</v>
      </c>
      <c r="AM10" s="1">
        <f t="shared" si="8"/>
        <v>5525.000000000002</v>
      </c>
      <c r="AN10" s="1">
        <f t="shared" si="8"/>
        <v>5525.000000000002</v>
      </c>
      <c r="AO10" s="1">
        <f t="shared" si="8"/>
        <v>5525.000000000002</v>
      </c>
    </row>
    <row r="11" spans="1:41" ht="12.75">
      <c r="A11" s="1" t="s">
        <v>16</v>
      </c>
      <c r="H11" s="1">
        <v>9</v>
      </c>
      <c r="I11" s="1">
        <v>8</v>
      </c>
      <c r="J11" s="1">
        <v>7</v>
      </c>
      <c r="K11" s="1">
        <v>6</v>
      </c>
      <c r="L11" s="1">
        <v>5</v>
      </c>
      <c r="M11" s="1">
        <v>4</v>
      </c>
      <c r="N11" s="1">
        <v>3</v>
      </c>
      <c r="O11" s="1">
        <v>13</v>
      </c>
      <c r="P11" s="1">
        <v>12</v>
      </c>
      <c r="Q11" s="1">
        <v>11</v>
      </c>
      <c r="R11" s="1">
        <v>10</v>
      </c>
      <c r="S11" s="1">
        <v>9</v>
      </c>
      <c r="T11">
        <f>U11+1</f>
        <v>8</v>
      </c>
      <c r="U11" s="1">
        <v>7</v>
      </c>
      <c r="V11" s="1">
        <v>10</v>
      </c>
      <c r="W11" s="1">
        <v>9</v>
      </c>
      <c r="X11" s="1">
        <v>8</v>
      </c>
      <c r="Y11" s="1">
        <v>7</v>
      </c>
      <c r="Z11" s="1">
        <v>6</v>
      </c>
      <c r="AA11" s="1">
        <v>5</v>
      </c>
      <c r="AB11" s="1">
        <v>4</v>
      </c>
      <c r="AC11" s="1">
        <v>3</v>
      </c>
      <c r="AD11" s="1">
        <v>2</v>
      </c>
      <c r="AE11" s="1">
        <v>1</v>
      </c>
      <c r="AF11" s="1">
        <v>10</v>
      </c>
      <c r="AG11" s="1">
        <v>9</v>
      </c>
      <c r="AH11" s="1">
        <v>8</v>
      </c>
      <c r="AI11" s="1">
        <v>7</v>
      </c>
      <c r="AJ11" s="1">
        <v>6</v>
      </c>
      <c r="AK11" s="1">
        <v>5</v>
      </c>
      <c r="AL11" s="1">
        <v>4</v>
      </c>
      <c r="AM11" s="1">
        <v>3</v>
      </c>
      <c r="AN11" s="1">
        <v>2</v>
      </c>
      <c r="AO11" s="1">
        <v>1</v>
      </c>
    </row>
    <row r="12" spans="1:41" ht="12.75">
      <c r="A12" s="1" t="s">
        <v>56</v>
      </c>
      <c r="H12" s="1">
        <f>(H2+H3+H4+H6)-H7</f>
        <v>10.14285714285711</v>
      </c>
      <c r="I12" s="1">
        <f aca="true" t="shared" si="9" ref="I12:N12">H12+(I2+I3+I4+I6)-I7</f>
        <v>-303.7142857142858</v>
      </c>
      <c r="J12" s="1">
        <f t="shared" si="9"/>
        <v>-670.5714285714287</v>
      </c>
      <c r="K12" s="1">
        <f t="shared" si="9"/>
        <v>-1134.4285714285716</v>
      </c>
      <c r="L12" s="1">
        <f t="shared" si="9"/>
        <v>-1336.2857142857144</v>
      </c>
      <c r="M12" s="1">
        <f t="shared" si="9"/>
        <v>-1473.1428571428573</v>
      </c>
      <c r="N12" s="1">
        <f t="shared" si="9"/>
        <v>-1507.0000000000002</v>
      </c>
      <c r="O12" s="1">
        <f>(O2+O3+O4+O6)-O7</f>
        <v>87</v>
      </c>
      <c r="P12" s="1">
        <f>O12+(P2+P3+P4+P6)-P7</f>
        <v>764</v>
      </c>
      <c r="Q12" s="1">
        <f>P12+(Q2+Q3+Q4+Q6)-Q7</f>
        <v>1121</v>
      </c>
      <c r="R12" s="1">
        <f>(R2+R3+R4+R6)-R7</f>
        <v>190</v>
      </c>
      <c r="S12" s="1">
        <f>R12+(S2+S3+S4+S6)-S7</f>
        <v>789</v>
      </c>
      <c r="T12" s="1">
        <f>S12+(T2+T3+T4+T6)-T7</f>
        <v>712</v>
      </c>
      <c r="U12" s="1">
        <f>T12+(U2+U3+U4+U6)-(U7)</f>
        <v>1047</v>
      </c>
      <c r="V12" s="1">
        <f>(V2+V3+V4+V6)-(V7-109)</f>
        <v>-369</v>
      </c>
      <c r="W12" s="1">
        <f aca="true" t="shared" si="10" ref="W12:AE12">V12+(W2+W3+W4+W6)-(W7-109)</f>
        <v>-589.7272727272727</v>
      </c>
      <c r="X12" s="1">
        <f t="shared" si="10"/>
        <v>-626.1818181818182</v>
      </c>
      <c r="Y12" s="1">
        <f t="shared" si="10"/>
        <v>-662.6363636363637</v>
      </c>
      <c r="Z12" s="1">
        <f t="shared" si="10"/>
        <v>-699.0909090909092</v>
      </c>
      <c r="AA12" s="1">
        <f t="shared" si="10"/>
        <v>-735.5454545454547</v>
      </c>
      <c r="AB12" s="1">
        <f t="shared" si="10"/>
        <v>-772.0000000000002</v>
      </c>
      <c r="AC12" s="1">
        <f t="shared" si="10"/>
        <v>-1993.0000000000002</v>
      </c>
      <c r="AD12" s="1">
        <f t="shared" si="10"/>
        <v>-3214</v>
      </c>
      <c r="AE12" s="1">
        <f t="shared" si="10"/>
        <v>-4435</v>
      </c>
      <c r="AF12" s="1">
        <f aca="true" t="shared" si="11" ref="AF12:AN12">AE12+(AF2+AF3+AF4+AF6)-(AF7)</f>
        <v>-4435</v>
      </c>
      <c r="AG12" s="1">
        <f t="shared" si="11"/>
        <v>-4435</v>
      </c>
      <c r="AH12" s="1">
        <f t="shared" si="11"/>
        <v>-4435</v>
      </c>
      <c r="AI12" s="1">
        <f t="shared" si="11"/>
        <v>-4435</v>
      </c>
      <c r="AJ12" s="1">
        <f t="shared" si="11"/>
        <v>-4435</v>
      </c>
      <c r="AK12" s="1">
        <f t="shared" si="11"/>
        <v>-4435</v>
      </c>
      <c r="AL12" s="1">
        <f t="shared" si="11"/>
        <v>-4435</v>
      </c>
      <c r="AM12" s="1">
        <f t="shared" si="11"/>
        <v>-4435</v>
      </c>
      <c r="AN12" s="1">
        <f t="shared" si="11"/>
        <v>-4435</v>
      </c>
      <c r="AO12" s="1">
        <f>AN12+(AO2+AO3+AO4+AO6)-(AO7-109)</f>
        <v>-4326</v>
      </c>
    </row>
    <row r="14" ht="12.75">
      <c r="O14" s="1">
        <f>SUM(O2:U4)-SUM(O7:U7)</f>
        <v>2168</v>
      </c>
    </row>
    <row r="15" spans="1:24" ht="15.75">
      <c r="A15" s="1" t="s">
        <v>42</v>
      </c>
      <c r="R15" s="1">
        <f>R20+R25</f>
        <v>625</v>
      </c>
      <c r="S15" s="1">
        <f>S20+S25</f>
        <v>438</v>
      </c>
      <c r="T15" s="1">
        <f>T20+T25</f>
        <v>718</v>
      </c>
      <c r="U15" s="1">
        <f>U20+U25</f>
        <v>385</v>
      </c>
      <c r="V15" s="1">
        <f>V20+V25</f>
        <v>292</v>
      </c>
      <c r="X15" s="2"/>
    </row>
    <row r="16" spans="1:24" s="3" customFormat="1" ht="15.75">
      <c r="A16" s="3" t="s">
        <v>44</v>
      </c>
      <c r="R16" s="3">
        <f>R15/R2</f>
        <v>0.4445234708392603</v>
      </c>
      <c r="S16" s="3">
        <f>S15/S2</f>
        <v>0.34352941176470586</v>
      </c>
      <c r="T16" s="3">
        <f>T15/T2</f>
        <v>0.5240875912408759</v>
      </c>
      <c r="U16" s="3">
        <f>U15/U2</f>
        <v>0.348731884057971</v>
      </c>
      <c r="V16" s="3">
        <f>V15/V2</f>
        <v>0.4147727272727273</v>
      </c>
      <c r="X16" s="5"/>
    </row>
    <row r="17" spans="1:24" ht="15.75">
      <c r="A17" s="1" t="s">
        <v>45</v>
      </c>
      <c r="R17" s="1">
        <f>R15</f>
        <v>625</v>
      </c>
      <c r="S17" s="1">
        <f>SUM($R15:S15)</f>
        <v>1063</v>
      </c>
      <c r="T17" s="1">
        <f>SUM($R15:T15)</f>
        <v>1781</v>
      </c>
      <c r="U17" s="1">
        <f>SUM($R15:U15)</f>
        <v>2166</v>
      </c>
      <c r="V17" s="1">
        <f>SUM($R15:V15)</f>
        <v>2458</v>
      </c>
      <c r="X17" s="2"/>
    </row>
    <row r="18" spans="1:24" s="3" customFormat="1" ht="15.75">
      <c r="A18" s="3" t="s">
        <v>46</v>
      </c>
      <c r="R18" s="3">
        <f>R16</f>
        <v>0.4445234708392603</v>
      </c>
      <c r="S18" s="3">
        <f>S17/SUM($R2:S2)</f>
        <v>0.39649384558000744</v>
      </c>
      <c r="T18" s="3">
        <f>T17/SUM($R2:T2)</f>
        <v>0.4396445322142681</v>
      </c>
      <c r="U18" s="3">
        <f>U17/SUM($R2:U2)</f>
        <v>0.42017458777885547</v>
      </c>
      <c r="V18" s="3">
        <f>V17/SUM($R2:V2)</f>
        <v>0.41952551629970986</v>
      </c>
      <c r="X18" s="5"/>
    </row>
    <row r="19" spans="1:41" s="4" customFormat="1" ht="12.75">
      <c r="A19" s="4" t="s">
        <v>43</v>
      </c>
      <c r="R19" s="4">
        <v>0.5</v>
      </c>
      <c r="S19" s="4">
        <v>0.5</v>
      </c>
      <c r="T19" s="4">
        <v>0.5</v>
      </c>
      <c r="U19" s="4">
        <v>0.5</v>
      </c>
      <c r="V19" s="4">
        <v>0.35</v>
      </c>
      <c r="W19" s="4">
        <v>0.35</v>
      </c>
      <c r="X19" s="4">
        <v>0.35</v>
      </c>
      <c r="Y19" s="4">
        <v>0.35</v>
      </c>
      <c r="Z19" s="4">
        <v>0.35</v>
      </c>
      <c r="AA19" s="4">
        <v>0.35</v>
      </c>
      <c r="AB19" s="4">
        <v>0.35</v>
      </c>
      <c r="AC19" s="4">
        <v>0.35</v>
      </c>
      <c r="AD19" s="4">
        <v>0.35</v>
      </c>
      <c r="AE19" s="4">
        <v>0.35</v>
      </c>
      <c r="AF19" s="4">
        <v>0.35</v>
      </c>
      <c r="AG19" s="4">
        <v>0.35</v>
      </c>
      <c r="AH19" s="4">
        <v>0.35</v>
      </c>
      <c r="AI19" s="4">
        <v>0.35</v>
      </c>
      <c r="AJ19" s="4">
        <v>0.35</v>
      </c>
      <c r="AK19" s="4">
        <v>0.35</v>
      </c>
      <c r="AL19" s="4">
        <v>0.35</v>
      </c>
      <c r="AM19" s="4">
        <v>0.35</v>
      </c>
      <c r="AN19" s="4">
        <v>0.35</v>
      </c>
      <c r="AO19" s="4">
        <v>0.35</v>
      </c>
    </row>
    <row r="20" spans="1:22" ht="12.75">
      <c r="A20" s="1" t="s">
        <v>47</v>
      </c>
      <c r="R20" s="1">
        <v>270</v>
      </c>
      <c r="S20" s="1">
        <v>138</v>
      </c>
      <c r="T20" s="1">
        <v>302</v>
      </c>
      <c r="U20" s="1">
        <v>128</v>
      </c>
      <c r="V20" s="1">
        <v>48</v>
      </c>
    </row>
    <row r="21" spans="1:22" s="3" customFormat="1" ht="12.75">
      <c r="A21" s="3" t="s">
        <v>53</v>
      </c>
      <c r="R21" s="3">
        <f>R20/R2</f>
        <v>0.19203413940256045</v>
      </c>
      <c r="S21" s="3">
        <f>S20/S2</f>
        <v>0.10823529411764705</v>
      </c>
      <c r="T21" s="3">
        <f>T20/T2</f>
        <v>0.22043795620437956</v>
      </c>
      <c r="U21" s="3">
        <f>U20/U2</f>
        <v>0.11594202898550725</v>
      </c>
      <c r="V21" s="3">
        <f>V20/V2</f>
        <v>0.06818181818181818</v>
      </c>
    </row>
    <row r="22" spans="1:22" ht="12.75">
      <c r="A22" s="1" t="s">
        <v>49</v>
      </c>
      <c r="R22" s="1">
        <f>SUM($R20:R20)</f>
        <v>270</v>
      </c>
      <c r="S22" s="1">
        <f>SUM($R20:S20)</f>
        <v>408</v>
      </c>
      <c r="T22" s="1">
        <f>SUM($R20:T20)</f>
        <v>710</v>
      </c>
      <c r="U22" s="1">
        <f>SUM($R20:U20)</f>
        <v>838</v>
      </c>
      <c r="V22" s="1">
        <f>SUM($R20:V20)</f>
        <v>886</v>
      </c>
    </row>
    <row r="23" spans="1:22" s="3" customFormat="1" ht="12.75">
      <c r="A23" s="3" t="s">
        <v>51</v>
      </c>
      <c r="R23" s="3">
        <f>R22/SUM($R2:R2)</f>
        <v>0.19203413940256045</v>
      </c>
      <c r="S23" s="3">
        <f>S22/SUM($R2:S2)</f>
        <v>0.15218202163371877</v>
      </c>
      <c r="T23" s="3">
        <f>T22/SUM($R2:T2)</f>
        <v>0.17526536657615405</v>
      </c>
      <c r="U23" s="3">
        <f>U22/SUM($R2:U2)</f>
        <v>0.16256062075654704</v>
      </c>
      <c r="V23" s="3">
        <f>V22/SUM($R2:V2)</f>
        <v>0.15122034476873186</v>
      </c>
    </row>
    <row r="24" spans="1:41" s="4" customFormat="1" ht="12.75">
      <c r="A24" s="4" t="s">
        <v>61</v>
      </c>
      <c r="R24" s="4">
        <f>(30/100)*0.5</f>
        <v>0.15</v>
      </c>
      <c r="S24" s="4">
        <f>(30/100)*0.5</f>
        <v>0.15</v>
      </c>
      <c r="T24" s="4">
        <f>(30/100)*0.5</f>
        <v>0.15</v>
      </c>
      <c r="U24" s="4">
        <f>(30/100)*0.5</f>
        <v>0.15</v>
      </c>
      <c r="V24" s="4">
        <v>0.1</v>
      </c>
      <c r="W24" s="4">
        <v>0.1</v>
      </c>
      <c r="X24" s="4">
        <v>0.1</v>
      </c>
      <c r="Y24" s="4">
        <v>0.1</v>
      </c>
      <c r="Z24" s="4">
        <v>0.1</v>
      </c>
      <c r="AA24" s="4">
        <v>0.1</v>
      </c>
      <c r="AB24" s="4">
        <v>0.1</v>
      </c>
      <c r="AC24" s="4">
        <v>0.1</v>
      </c>
      <c r="AD24" s="4">
        <v>0.1</v>
      </c>
      <c r="AE24" s="4">
        <v>0.1</v>
      </c>
      <c r="AF24" s="4">
        <v>0.1</v>
      </c>
      <c r="AG24" s="4">
        <v>0.1</v>
      </c>
      <c r="AH24" s="4">
        <v>0.1</v>
      </c>
      <c r="AI24" s="4">
        <v>0.1</v>
      </c>
      <c r="AJ24" s="4">
        <v>0.1</v>
      </c>
      <c r="AK24" s="4">
        <v>0.1</v>
      </c>
      <c r="AL24" s="4">
        <v>0.1</v>
      </c>
      <c r="AM24" s="4">
        <v>0.1</v>
      </c>
      <c r="AN24" s="4">
        <v>0.1</v>
      </c>
      <c r="AO24" s="4">
        <v>0.1</v>
      </c>
    </row>
    <row r="25" spans="1:22" ht="12.75">
      <c r="A25" s="1" t="s">
        <v>48</v>
      </c>
      <c r="R25" s="1">
        <v>355</v>
      </c>
      <c r="S25" s="1">
        <v>300</v>
      </c>
      <c r="T25" s="1">
        <v>416</v>
      </c>
      <c r="U25" s="1">
        <v>257</v>
      </c>
      <c r="V25" s="1">
        <v>244</v>
      </c>
    </row>
    <row r="26" spans="1:22" s="3" customFormat="1" ht="12.75">
      <c r="A26" s="3" t="s">
        <v>54</v>
      </c>
      <c r="R26" s="3">
        <f>R25/R2</f>
        <v>0.2524893314366999</v>
      </c>
      <c r="S26" s="3">
        <f>S25/S2</f>
        <v>0.23529411764705882</v>
      </c>
      <c r="T26" s="3">
        <f>T25/T2</f>
        <v>0.30364963503649633</v>
      </c>
      <c r="U26" s="3">
        <f>U25/U2</f>
        <v>0.23278985507246377</v>
      </c>
      <c r="V26" s="3">
        <f>V25/V2</f>
        <v>0.3465909090909091</v>
      </c>
    </row>
    <row r="27" spans="1:22" ht="12.75">
      <c r="A27" s="1" t="s">
        <v>50</v>
      </c>
      <c r="R27" s="1">
        <f>SUM($R25:R25)</f>
        <v>355</v>
      </c>
      <c r="S27" s="1">
        <f>SUM($R25:S25)</f>
        <v>655</v>
      </c>
      <c r="T27" s="1">
        <f>SUM($R25:T25)</f>
        <v>1071</v>
      </c>
      <c r="U27" s="1">
        <f>SUM($R25:U25)</f>
        <v>1328</v>
      </c>
      <c r="V27" s="1">
        <f>SUM($R25:V25)</f>
        <v>1572</v>
      </c>
    </row>
    <row r="28" spans="1:22" s="3" customFormat="1" ht="12.75">
      <c r="A28" s="3" t="s">
        <v>52</v>
      </c>
      <c r="R28" s="3">
        <f>R27/SUM($R2:R2)</f>
        <v>0.2524893314366999</v>
      </c>
      <c r="S28" s="3">
        <f>S27/SUM($R2:S2)</f>
        <v>0.2443118239462887</v>
      </c>
      <c r="T28" s="3">
        <f>T27/SUM($R2:T2)</f>
        <v>0.26437916563811403</v>
      </c>
      <c r="U28" s="3">
        <f>U27/SUM($R2:U2)</f>
        <v>0.25761396702230843</v>
      </c>
      <c r="V28" s="3">
        <f>V27/SUM($R2:V2)</f>
        <v>0.268305171530978</v>
      </c>
    </row>
    <row r="29" spans="1:41" s="4" customFormat="1" ht="12.75">
      <c r="A29" s="4" t="s">
        <v>60</v>
      </c>
      <c r="R29" s="4">
        <f>(70/100)*0.5</f>
        <v>0.35</v>
      </c>
      <c r="S29" s="4">
        <f>(70/100)*0.5</f>
        <v>0.35</v>
      </c>
      <c r="T29" s="4">
        <f>(70/100)*0.5</f>
        <v>0.35</v>
      </c>
      <c r="U29" s="4">
        <f>(70/100)*0.5</f>
        <v>0.35</v>
      </c>
      <c r="V29" s="4">
        <v>0.25</v>
      </c>
      <c r="W29" s="4">
        <v>0.25</v>
      </c>
      <c r="X29" s="4">
        <v>0.25</v>
      </c>
      <c r="Y29" s="4">
        <v>0.25</v>
      </c>
      <c r="Z29" s="4">
        <v>0.25</v>
      </c>
      <c r="AA29" s="4">
        <v>0.25</v>
      </c>
      <c r="AB29" s="4">
        <v>0.25</v>
      </c>
      <c r="AC29" s="4">
        <v>0.25</v>
      </c>
      <c r="AD29" s="4">
        <v>0.25</v>
      </c>
      <c r="AE29" s="4">
        <v>0.25</v>
      </c>
      <c r="AF29" s="4">
        <v>0.25</v>
      </c>
      <c r="AG29" s="4">
        <v>0.25</v>
      </c>
      <c r="AH29" s="4">
        <v>0.25</v>
      </c>
      <c r="AI29" s="4">
        <v>0.25</v>
      </c>
      <c r="AJ29" s="4">
        <v>0.25</v>
      </c>
      <c r="AK29" s="4">
        <v>0.25</v>
      </c>
      <c r="AL29" s="4">
        <v>0.25</v>
      </c>
      <c r="AM29" s="4">
        <v>0.25</v>
      </c>
      <c r="AN29" s="4">
        <v>0.25</v>
      </c>
      <c r="AO29" s="4">
        <v>0.25</v>
      </c>
    </row>
    <row r="30" spans="1:22" s="4" customFormat="1" ht="12.75">
      <c r="A30" s="4" t="s">
        <v>55</v>
      </c>
      <c r="R30" s="4">
        <v>0.84</v>
      </c>
      <c r="S30" s="4">
        <v>0.89</v>
      </c>
      <c r="T30" s="4">
        <v>0.86</v>
      </c>
      <c r="U30" s="4">
        <f>867/1057</f>
        <v>0.8202459791863765</v>
      </c>
      <c r="V30" s="4">
        <f>589/811</f>
        <v>0.7262638717632552</v>
      </c>
    </row>
    <row r="31" spans="1:22" ht="12.75">
      <c r="A31" s="1" t="s">
        <v>62</v>
      </c>
      <c r="R31" s="4">
        <f>1-R30</f>
        <v>0.16000000000000003</v>
      </c>
      <c r="S31" s="4">
        <f>1-S30</f>
        <v>0.10999999999999999</v>
      </c>
      <c r="T31" s="4">
        <f>1-T30</f>
        <v>0.14</v>
      </c>
      <c r="U31" s="4">
        <f>1-U30</f>
        <v>0.17975402081362346</v>
      </c>
      <c r="V31" s="4">
        <f>1-V30</f>
        <v>0.27373612823674476</v>
      </c>
    </row>
    <row r="32" spans="17:22" ht="12.75">
      <c r="Q32" s="1" t="s">
        <v>41</v>
      </c>
      <c r="R32" s="1">
        <f>R2-R15</f>
        <v>781</v>
      </c>
      <c r="S32" s="1">
        <f>S2-S15</f>
        <v>837</v>
      </c>
      <c r="T32" s="1">
        <f>T2-T15</f>
        <v>652</v>
      </c>
      <c r="U32" s="1">
        <f>U2-U15</f>
        <v>719</v>
      </c>
      <c r="V32" s="1">
        <f>V2-V15</f>
        <v>412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Dominick Mennie</cp:lastModifiedBy>
  <cp:lastPrinted>2011-11-04T17:51:19Z</cp:lastPrinted>
  <dcterms:created xsi:type="dcterms:W3CDTF">1996-10-14T23:33:28Z</dcterms:created>
  <dcterms:modified xsi:type="dcterms:W3CDTF">2013-03-25T13:03:37Z</dcterms:modified>
  <cp:category/>
  <cp:version/>
  <cp:contentType/>
  <cp:contentStatus/>
</cp:coreProperties>
</file>